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05e944b3931f97dd/B.都更開發案/投資分析/"/>
    </mc:Choice>
  </mc:AlternateContent>
  <xr:revisionPtr revIDLastSave="835" documentId="8_{D6C66169-263E-42F9-8047-FBB54203F6CD}" xr6:coauthVersionLast="47" xr6:coauthVersionMax="47" xr10:uidLastSave="{38C2DFC6-4163-418C-81D1-B08A78DEDCFD}"/>
  <bookViews>
    <workbookView xWindow="-108" yWindow="-108" windowWidth="23256" windowHeight="12576" xr2:uid="{EBCBBA22-D909-4D5D-82CD-4464763005C0}"/>
  </bookViews>
  <sheets>
    <sheet name="坪效估算" sheetId="1" r:id="rId1"/>
  </sheets>
  <definedNames>
    <definedName name="_xlnm._FilterDatabase" localSheetId="0" hidden="1">坪效估算!$A$3:$E$45</definedName>
    <definedName name="A.土地面積_L">坪效估算!$B$6</definedName>
    <definedName name="A_案名">坪效估算!$A$3</definedName>
    <definedName name="AN_N01">坪效估算!$A$3</definedName>
    <definedName name="AN_N02">坪效估算!$B$6</definedName>
    <definedName name="AN_N03">坪效估算!$B$7</definedName>
    <definedName name="AN_N04">坪效估算!$E$7</definedName>
    <definedName name="AN_N05">坪效估算!$B$9</definedName>
    <definedName name="AN_N06">坪效估算!$B$10</definedName>
    <definedName name="AN_N07">坪效估算!$B$30</definedName>
    <definedName name="AN_N08">坪效估算!$B$35</definedName>
    <definedName name="B_土地面積">坪效估算!$B$6</definedName>
    <definedName name="_xlnm.Print_Area" localSheetId="0">坪效估算!$A$1:$E$45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30" i="1"/>
  <c r="B32" i="1" s="1"/>
  <c r="H28" i="1"/>
  <c r="H27" i="1"/>
  <c r="B11" i="1"/>
  <c r="B21" i="1" s="1"/>
  <c r="B8" i="1" l="1"/>
  <c r="D6" i="1"/>
  <c r="D32" i="1" s="1"/>
  <c r="C9" i="1" l="1"/>
  <c r="C10" i="1"/>
  <c r="B12" i="1"/>
  <c r="D8" i="1"/>
  <c r="D12" i="1" s="1"/>
  <c r="D11" i="1"/>
  <c r="D21" i="1" s="1"/>
  <c r="B15" i="1" l="1"/>
  <c r="D15" i="1"/>
  <c r="D18" i="1" s="1"/>
  <c r="D24" i="1" s="1"/>
  <c r="D27" i="1" s="1"/>
  <c r="B18" i="1" l="1"/>
  <c r="D44" i="1" s="1"/>
  <c r="D43" i="1"/>
  <c r="D42" i="1"/>
  <c r="D37" i="1"/>
  <c r="B37" i="1" l="1"/>
  <c r="B44" i="1"/>
  <c r="B24" i="1"/>
  <c r="B27" i="1" s="1"/>
  <c r="D38" i="1"/>
  <c r="D39" i="1" s="1"/>
  <c r="D40" i="1" s="1"/>
  <c r="B43" i="1" l="1"/>
  <c r="B38" i="1" s="1"/>
  <c r="B39" i="1" s="1"/>
  <c r="B42" i="1"/>
  <c r="E4" i="1" s="1"/>
  <c r="D35" i="1" l="1"/>
  <c r="B40" i="1"/>
</calcChain>
</file>

<file path=xl/sharedStrings.xml><?xml version="1.0" encoding="utf-8"?>
<sst xmlns="http://schemas.openxmlformats.org/spreadsheetml/2006/main" count="84" uniqueCount="46">
  <si>
    <t>平方公尺</t>
    <phoneticPr fontId="2" type="noConversion"/>
  </si>
  <si>
    <t>坪</t>
    <phoneticPr fontId="2" type="noConversion"/>
  </si>
  <si>
    <t>基準容積</t>
    <phoneticPr fontId="2" type="noConversion"/>
  </si>
  <si>
    <t>坪效係數</t>
    <phoneticPr fontId="2" type="noConversion"/>
  </si>
  <si>
    <t>機房及安全梯面積</t>
    <phoneticPr fontId="2" type="noConversion"/>
  </si>
  <si>
    <t>梯廳面積</t>
    <phoneticPr fontId="2" type="noConversion"/>
  </si>
  <si>
    <t>陽台面積</t>
    <phoneticPr fontId="2" type="noConversion"/>
  </si>
  <si>
    <t>專有面積</t>
    <phoneticPr fontId="2" type="noConversion"/>
  </si>
  <si>
    <t>機房及安全梯面積 = 基準容積*15%</t>
  </si>
  <si>
    <t> (基準容積+機房及安全梯面積)*5%</t>
  </si>
  <si>
    <t> (基準容積+機房及安全梯面積 + 梯廳面積)*10%</t>
  </si>
  <si>
    <t>規劃公設比</t>
    <phoneticPr fontId="2" type="noConversion"/>
  </si>
  <si>
    <t>公有面積</t>
    <phoneticPr fontId="2" type="noConversion"/>
  </si>
  <si>
    <t>銷售面積</t>
    <phoneticPr fontId="2" type="noConversion"/>
  </si>
  <si>
    <t>銷售面積/基準容積</t>
    <phoneticPr fontId="2" type="noConversion"/>
  </si>
  <si>
    <t>陽台比例</t>
    <phoneticPr fontId="2" type="noConversion"/>
  </si>
  <si>
    <t>梯廳比例</t>
    <phoneticPr fontId="2" type="noConversion"/>
  </si>
  <si>
    <t>機房及安全梯比例</t>
    <phoneticPr fontId="2" type="noConversion"/>
  </si>
  <si>
    <t>土地面積(L)</t>
    <phoneticPr fontId="2" type="noConversion"/>
  </si>
  <si>
    <t>容積率(r1)</t>
    <phoneticPr fontId="2" type="noConversion"/>
  </si>
  <si>
    <t>容積獎勵率(r2)</t>
    <phoneticPr fontId="2" type="noConversion"/>
  </si>
  <si>
    <t>基準容積(A)</t>
    <phoneticPr fontId="2" type="noConversion"/>
  </si>
  <si>
    <t>小公面積</t>
    <phoneticPr fontId="2" type="noConversion"/>
  </si>
  <si>
    <t>建蔽率</t>
    <phoneticPr fontId="2" type="noConversion"/>
  </si>
  <si>
    <t>允建面積</t>
    <phoneticPr fontId="2" type="noConversion"/>
  </si>
  <si>
    <t>層</t>
    <phoneticPr fontId="2" type="noConversion"/>
  </si>
  <si>
    <t>屋凸面積</t>
    <phoneticPr fontId="2" type="noConversion"/>
  </si>
  <si>
    <t>地下室層數</t>
    <phoneticPr fontId="2" type="noConversion"/>
  </si>
  <si>
    <t>開挖率</t>
    <phoneticPr fontId="2" type="noConversion"/>
  </si>
  <si>
    <t>新北市建築開挖率為，各土地使用分區之法定開挖率不得超過「建蔽率加基地面積10％」；建築基地面積在500平方公尺以下者，不得超過「建蔽率加基地面積20％」</t>
  </si>
  <si>
    <t>地下室面積</t>
    <phoneticPr fontId="2" type="noConversion"/>
  </si>
  <si>
    <t>大公面積</t>
    <phoneticPr fontId="2" type="noConversion"/>
  </si>
  <si>
    <t>地下室車位面積</t>
    <phoneticPr fontId="2" type="noConversion"/>
  </si>
  <si>
    <t>重建坪效試算</t>
    <phoneticPr fontId="2" type="noConversion"/>
  </si>
  <si>
    <t>基地面積 x 開挖率 x 層數</t>
    <phoneticPr fontId="2" type="noConversion"/>
  </si>
  <si>
    <t>以預計規劃公設比來推算建築整體坪效</t>
    <phoneticPr fontId="2" type="noConversion"/>
  </si>
  <si>
    <t>屋凸層數</t>
    <phoneticPr fontId="2" type="noConversion"/>
  </si>
  <si>
    <t>基層建築面積八分之一</t>
    <phoneticPr fontId="2" type="noConversion"/>
  </si>
  <si>
    <t>其他獎勵率(r3)</t>
    <phoneticPr fontId="2" type="noConversion"/>
  </si>
  <si>
    <t>都更重建資訊平台 www.ur-promoter.com，坪效試算僅供參考使用。</t>
    <phoneticPr fontId="2" type="noConversion"/>
  </si>
  <si>
    <t>基準容積(主建物) + 陽台面積</t>
    <phoneticPr fontId="2" type="noConversion"/>
  </si>
  <si>
    <t>簡易初步評估試算，提供參考</t>
    <phoneticPr fontId="2" type="noConversion"/>
  </si>
  <si>
    <t>位</t>
    <phoneticPr fontId="2" type="noConversion"/>
  </si>
  <si>
    <t>法定汽車/機車</t>
    <phoneticPr fontId="2" type="noConversion"/>
  </si>
  <si>
    <t>車位平均面積</t>
    <phoneticPr fontId="2" type="noConversion"/>
  </si>
  <si>
    <t>台北市XX區XX段XX小段XX地號等五筆土地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</si>
</sst>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0.00000"/>
    <numFmt numFmtId="177" formatCode="0.00\ &quot;平方公尺&quot;"/>
    <numFmt numFmtId="178" formatCode="_-* #,##0_-;\-* #,##0_-;_-* &quot;-&quot;??_-;_-@_-"/>
  </numFmts>
  <fonts count="18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微軟正黑體"/>
      <family val="2"/>
      <charset val="136"/>
    </font>
    <font>
      <sz val="14"/>
      <name val="微軟正黑體"/>
      <family val="2"/>
      <charset val="136"/>
    </font>
    <font>
      <b/>
      <sz val="14"/>
      <name val="微軟正黑體"/>
      <family val="2"/>
      <charset val="136"/>
    </font>
    <font>
      <sz val="14"/>
      <color theme="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36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b/>
      <sz val="14"/>
      <color theme="4" tint="-0.499984740745262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u/>
      <sz val="12"/>
      <color theme="10"/>
      <name val="新細明體"/>
      <family val="2"/>
      <charset val="136"/>
      <scheme val="minor"/>
    </font>
    <font>
      <sz val="10"/>
      <color rgb="FFFF0000"/>
      <name val="微軟正黑體"/>
      <family val="2"/>
      <charset val="136"/>
    </font>
    <font>
      <u/>
      <sz val="10"/>
      <color theme="10"/>
      <name val="微軟正黑體"/>
      <family val="2"/>
      <charset val="136"/>
    </font>
    <font>
      <b/>
      <sz val="8"/>
      <color rgb="FFFF0000"/>
      <name val="微軟正黑體"/>
      <family val="2"/>
      <charset val="136"/>
    </font>
    <font>
      <b/>
      <sz val="18"/>
      <color rgb="FFFF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43" fontId="4" fillId="4" borderId="1" xfId="1" applyFont="1" applyFill="1" applyBorder="1" applyProtection="1">
      <alignment vertical="center"/>
      <protection locked="0"/>
    </xf>
    <xf numFmtId="9" fontId="4" fillId="4" borderId="1" xfId="2" applyFont="1" applyFill="1" applyBorder="1" applyProtection="1">
      <alignment vertical="center"/>
      <protection locked="0"/>
    </xf>
    <xf numFmtId="0" fontId="4" fillId="4" borderId="1" xfId="0" applyFont="1" applyFill="1" applyBorder="1" applyProtection="1">
      <alignment vertical="center"/>
      <protection locked="0"/>
    </xf>
    <xf numFmtId="9" fontId="4" fillId="4" borderId="1" xfId="2" applyFont="1" applyFill="1" applyBorder="1" applyAlignment="1" applyProtection="1">
      <alignment vertical="center"/>
      <protection locked="0"/>
    </xf>
    <xf numFmtId="177" fontId="10" fillId="2" borderId="1" xfId="2" applyNumberFormat="1" applyFont="1" applyFill="1" applyBorder="1" applyAlignment="1" applyProtection="1">
      <alignment vertical="center"/>
    </xf>
    <xf numFmtId="9" fontId="4" fillId="4" borderId="2" xfId="2" applyFont="1" applyFill="1" applyBorder="1" applyAlignment="1" applyProtection="1">
      <alignment vertical="center"/>
      <protection locked="0"/>
    </xf>
    <xf numFmtId="43" fontId="4" fillId="0" borderId="1" xfId="1" applyFont="1" applyFill="1" applyBorder="1" applyProtection="1">
      <alignment vertical="center"/>
    </xf>
    <xf numFmtId="9" fontId="6" fillId="0" borderId="0" xfId="2" applyFont="1" applyFill="1" applyProtection="1">
      <alignment vertical="center"/>
    </xf>
    <xf numFmtId="10" fontId="4" fillId="0" borderId="1" xfId="2" applyNumberFormat="1" applyFont="1" applyFill="1" applyBorder="1" applyProtection="1">
      <alignment vertical="center"/>
    </xf>
    <xf numFmtId="178" fontId="4" fillId="0" borderId="1" xfId="1" applyNumberFormat="1" applyFont="1" applyFill="1" applyBorder="1" applyProtection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0" fontId="11" fillId="3" borderId="1" xfId="0" applyFont="1" applyFill="1" applyBorder="1" applyAlignment="1">
      <alignment horizontal="right" vertical="center"/>
    </xf>
    <xf numFmtId="0" fontId="9" fillId="4" borderId="1" xfId="0" applyFont="1" applyFill="1" applyBorder="1">
      <alignment vertical="center"/>
    </xf>
    <xf numFmtId="0" fontId="9" fillId="0" borderId="1" xfId="0" applyFont="1" applyBorder="1">
      <alignment vertical="center"/>
    </xf>
    <xf numFmtId="2" fontId="4" fillId="0" borderId="1" xfId="0" applyNumberFormat="1" applyFont="1" applyBorder="1">
      <alignment vertical="center"/>
    </xf>
    <xf numFmtId="2" fontId="6" fillId="0" borderId="0" xfId="0" applyNumberFormat="1" applyFont="1">
      <alignment vertical="center"/>
    </xf>
    <xf numFmtId="0" fontId="10" fillId="0" borderId="1" xfId="0" applyFont="1" applyBorder="1">
      <alignment vertical="center"/>
    </xf>
    <xf numFmtId="43" fontId="4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9" fontId="4" fillId="2" borderId="1" xfId="2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4" fillId="4" borderId="1" xfId="2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5" fillId="0" borderId="0" xfId="3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10" fontId="4" fillId="4" borderId="2" xfId="2" applyNumberFormat="1" applyFont="1" applyFill="1" applyBorder="1" applyAlignment="1" applyProtection="1">
      <alignment horizontal="center" vertical="center"/>
      <protection locked="0"/>
    </xf>
    <xf numFmtId="10" fontId="4" fillId="4" borderId="3" xfId="2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 wrapText="1"/>
    </xf>
  </cellXfs>
  <cellStyles count="4">
    <cellStyle name="一般" xfId="0" builtinId="0"/>
    <cellStyle name="千分位" xfId="1" builtinId="3"/>
    <cellStyle name="百分比" xfId="2" builtinId="5"/>
    <cellStyle name="超連結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ur-promoter.com/" TargetMode="External"/><Relationship Id="rId7" Type="http://schemas.openxmlformats.org/officeDocument/2006/relationships/hyperlink" Target="http://www.ur-promoter.com/" TargetMode="External"/><Relationship Id="rId2" Type="http://schemas.openxmlformats.org/officeDocument/2006/relationships/hyperlink" Target="http://www.ur-promoter.com/" TargetMode="External"/><Relationship Id="rId1" Type="http://schemas.openxmlformats.org/officeDocument/2006/relationships/hyperlink" Target="http://www.ur-promoter.com/" TargetMode="External"/><Relationship Id="rId6" Type="http://schemas.openxmlformats.org/officeDocument/2006/relationships/hyperlink" Target="http://www.ur-promoter.com/" TargetMode="External"/><Relationship Id="rId5" Type="http://schemas.openxmlformats.org/officeDocument/2006/relationships/hyperlink" Target="http://www.ur-promoter.com/" TargetMode="External"/><Relationship Id="rId4" Type="http://schemas.openxmlformats.org/officeDocument/2006/relationships/hyperlink" Target="http://www.ur-promo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3C75A-7234-4671-B25E-FA704B49154F}">
  <sheetPr>
    <pageSetUpPr fitToPage="1"/>
  </sheetPr>
  <dimension ref="A1:K50"/>
  <sheetViews>
    <sheetView tabSelected="1" workbookViewId="0">
      <selection activeCell="A3" sqref="A3:E3"/>
    </sheetView>
  </sheetViews>
  <sheetFormatPr defaultRowHeight="18" x14ac:dyDescent="0.3"/>
  <cols>
    <col min="1" max="5" width="24.77734375" style="11" customWidth="1"/>
    <col min="6" max="7" width="8.88671875" style="11"/>
    <col min="8" max="8" width="11.109375" style="12" bestFit="1" customWidth="1"/>
    <col min="9" max="10" width="9.77734375" style="12" bestFit="1" customWidth="1"/>
    <col min="11" max="11" width="8.88671875" style="12"/>
    <col min="12" max="16384" width="8.88671875" style="11"/>
  </cols>
  <sheetData>
    <row r="1" spans="1:5" ht="46.2" x14ac:dyDescent="0.3">
      <c r="A1" s="22" t="s">
        <v>33</v>
      </c>
      <c r="B1" s="22"/>
      <c r="C1" s="22"/>
      <c r="D1" s="22"/>
      <c r="E1" s="22"/>
    </row>
    <row r="2" spans="1:5" x14ac:dyDescent="0.3">
      <c r="A2" s="26" t="s">
        <v>35</v>
      </c>
      <c r="B2" s="26"/>
      <c r="C2" s="26"/>
      <c r="D2" s="26"/>
      <c r="E2" s="26"/>
    </row>
    <row r="3" spans="1:5" ht="40.049999999999997" customHeight="1" x14ac:dyDescent="0.3">
      <c r="A3" s="25" t="s">
        <v>45</v>
      </c>
      <c r="B3" s="25"/>
      <c r="C3" s="25"/>
      <c r="D3" s="25"/>
      <c r="E3" s="25"/>
    </row>
    <row r="4" spans="1:5" ht="25.05" customHeight="1" x14ac:dyDescent="0.3">
      <c r="A4" s="24" t="s">
        <v>41</v>
      </c>
      <c r="B4" s="24"/>
      <c r="C4" s="24"/>
      <c r="D4" s="13" t="s">
        <v>3</v>
      </c>
      <c r="E4" s="14">
        <f>B42/B12</f>
        <v>1.6481617647058826</v>
      </c>
    </row>
    <row r="5" spans="1:5" ht="25.05" customHeight="1" x14ac:dyDescent="0.3">
      <c r="A5" s="24"/>
      <c r="B5" s="24"/>
      <c r="C5" s="24"/>
      <c r="D5" s="27" t="s">
        <v>14</v>
      </c>
      <c r="E5" s="27"/>
    </row>
    <row r="6" spans="1:5" ht="25.05" customHeight="1" x14ac:dyDescent="0.3">
      <c r="A6" s="15" t="s">
        <v>18</v>
      </c>
      <c r="B6" s="1">
        <v>5845</v>
      </c>
      <c r="C6" s="16" t="s">
        <v>0</v>
      </c>
      <c r="D6" s="7">
        <f>B6*0.3025</f>
        <v>1768.1125</v>
      </c>
      <c r="E6" s="17" t="s">
        <v>1</v>
      </c>
    </row>
    <row r="7" spans="1:5" ht="25.05" customHeight="1" x14ac:dyDescent="0.3">
      <c r="A7" s="15" t="s">
        <v>19</v>
      </c>
      <c r="B7" s="28">
        <v>3</v>
      </c>
      <c r="C7" s="28"/>
      <c r="D7" s="15" t="s">
        <v>23</v>
      </c>
      <c r="E7" s="2">
        <v>0.45</v>
      </c>
    </row>
    <row r="8" spans="1:5" ht="25.05" customHeight="1" x14ac:dyDescent="0.3">
      <c r="A8" s="15" t="s">
        <v>2</v>
      </c>
      <c r="B8" s="7">
        <f>B6*$B$7</f>
        <v>17535</v>
      </c>
      <c r="C8" s="17" t="s">
        <v>0</v>
      </c>
      <c r="D8" s="7">
        <f>D6*$B$7</f>
        <v>5304.3374999999996</v>
      </c>
      <c r="E8" s="17" t="s">
        <v>1</v>
      </c>
    </row>
    <row r="9" spans="1:5" ht="25.05" customHeight="1" x14ac:dyDescent="0.3">
      <c r="A9" s="15" t="s">
        <v>20</v>
      </c>
      <c r="B9" s="4">
        <v>0.5</v>
      </c>
      <c r="C9" s="5">
        <f>IF(B9=0,"",B8*(1+B9))</f>
        <v>26302.5</v>
      </c>
      <c r="D9" s="29"/>
      <c r="E9" s="30"/>
    </row>
    <row r="10" spans="1:5" ht="25.05" customHeight="1" x14ac:dyDescent="0.3">
      <c r="A10" s="15" t="s">
        <v>38</v>
      </c>
      <c r="B10" s="6">
        <v>0</v>
      </c>
      <c r="C10" s="5" t="str">
        <f>IF(B10=0,"",B8*(1+B10))</f>
        <v/>
      </c>
      <c r="D10" s="29" t="str">
        <f>IF(B9+B10&gt;1,"注意總獎勵值以超過1倍","海砂、危老、容移以及TOD等")</f>
        <v>海砂、危老、容移以及TOD等</v>
      </c>
      <c r="E10" s="30"/>
    </row>
    <row r="11" spans="1:5" ht="25.05" customHeight="1" x14ac:dyDescent="0.3">
      <c r="A11" s="15" t="s">
        <v>24</v>
      </c>
      <c r="B11" s="7">
        <f>B6*$E$7</f>
        <v>2630.25</v>
      </c>
      <c r="C11" s="17" t="s">
        <v>0</v>
      </c>
      <c r="D11" s="7">
        <f>D6*$E$7</f>
        <v>795.65062499999999</v>
      </c>
      <c r="E11" s="17" t="s">
        <v>1</v>
      </c>
    </row>
    <row r="12" spans="1:5" ht="25.05" customHeight="1" x14ac:dyDescent="0.3">
      <c r="A12" s="15" t="s">
        <v>21</v>
      </c>
      <c r="B12" s="7">
        <f>B8*(1+$B$9+B10)</f>
        <v>26302.5</v>
      </c>
      <c r="C12" s="17" t="s">
        <v>0</v>
      </c>
      <c r="D12" s="7">
        <f>D8*(1+$B$9)</f>
        <v>7956.5062499999995</v>
      </c>
      <c r="E12" s="17" t="s">
        <v>1</v>
      </c>
    </row>
    <row r="13" spans="1:5" ht="25.05" customHeight="1" x14ac:dyDescent="0.3">
      <c r="A13" s="31" t="s">
        <v>39</v>
      </c>
      <c r="B13" s="32"/>
      <c r="C13" s="32"/>
      <c r="D13" s="32"/>
      <c r="E13" s="32"/>
    </row>
    <row r="14" spans="1:5" ht="25.05" customHeight="1" x14ac:dyDescent="0.3">
      <c r="A14" s="15" t="s">
        <v>17</v>
      </c>
      <c r="B14" s="23">
        <v>0.15</v>
      </c>
      <c r="C14" s="23"/>
      <c r="D14" s="33"/>
      <c r="E14" s="34"/>
    </row>
    <row r="15" spans="1:5" ht="25.05" customHeight="1" x14ac:dyDescent="0.3">
      <c r="A15" s="15" t="s">
        <v>4</v>
      </c>
      <c r="B15" s="7">
        <f>B12*B14</f>
        <v>3945.375</v>
      </c>
      <c r="C15" s="17" t="s">
        <v>0</v>
      </c>
      <c r="D15" s="18">
        <f>D12*15%</f>
        <v>1193.4759374999999</v>
      </c>
      <c r="E15" s="17" t="s">
        <v>1</v>
      </c>
    </row>
    <row r="16" spans="1:5" ht="25.05" customHeight="1" x14ac:dyDescent="0.3">
      <c r="A16" s="27" t="s">
        <v>8</v>
      </c>
      <c r="B16" s="27"/>
      <c r="C16" s="27"/>
      <c r="D16" s="27"/>
      <c r="E16" s="27"/>
    </row>
    <row r="17" spans="1:10" ht="25.05" customHeight="1" x14ac:dyDescent="0.3">
      <c r="A17" s="15" t="s">
        <v>16</v>
      </c>
      <c r="B17" s="23">
        <v>0.05</v>
      </c>
      <c r="C17" s="23"/>
      <c r="D17" s="33"/>
      <c r="E17" s="34"/>
    </row>
    <row r="18" spans="1:10" ht="25.05" customHeight="1" x14ac:dyDescent="0.3">
      <c r="A18" s="15" t="s">
        <v>5</v>
      </c>
      <c r="B18" s="18">
        <f>(B12+B15)*B17</f>
        <v>1512.3937500000002</v>
      </c>
      <c r="C18" s="17" t="s">
        <v>0</v>
      </c>
      <c r="D18" s="18">
        <f>(D12+D15)*5%</f>
        <v>457.49910937499999</v>
      </c>
      <c r="E18" s="17" t="s">
        <v>1</v>
      </c>
    </row>
    <row r="19" spans="1:10" ht="25.05" customHeight="1" x14ac:dyDescent="0.3">
      <c r="A19" s="27" t="s">
        <v>9</v>
      </c>
      <c r="B19" s="27"/>
      <c r="C19" s="27"/>
      <c r="D19" s="27"/>
      <c r="E19" s="27"/>
    </row>
    <row r="20" spans="1:10" ht="25.05" customHeight="1" x14ac:dyDescent="0.3">
      <c r="A20" s="15" t="s">
        <v>36</v>
      </c>
      <c r="B20" s="18">
        <v>3</v>
      </c>
      <c r="C20" s="17" t="s">
        <v>25</v>
      </c>
      <c r="D20" s="33"/>
      <c r="E20" s="34"/>
    </row>
    <row r="21" spans="1:10" ht="25.05" customHeight="1" x14ac:dyDescent="0.3">
      <c r="A21" s="15" t="s">
        <v>26</v>
      </c>
      <c r="B21" s="18">
        <f>B11/8*$B$20</f>
        <v>986.34375</v>
      </c>
      <c r="C21" s="17" t="s">
        <v>0</v>
      </c>
      <c r="D21" s="18">
        <f>D11/8*$B$20</f>
        <v>298.36898437499997</v>
      </c>
      <c r="E21" s="17" t="s">
        <v>1</v>
      </c>
    </row>
    <row r="22" spans="1:10" ht="25.05" customHeight="1" x14ac:dyDescent="0.3">
      <c r="A22" s="27" t="s">
        <v>37</v>
      </c>
      <c r="B22" s="27"/>
      <c r="C22" s="27"/>
      <c r="D22" s="27"/>
      <c r="E22" s="27"/>
    </row>
    <row r="23" spans="1:10" ht="25.05" customHeight="1" x14ac:dyDescent="0.3">
      <c r="A23" s="15" t="s">
        <v>15</v>
      </c>
      <c r="B23" s="23">
        <v>0.1</v>
      </c>
      <c r="C23" s="23"/>
      <c r="D23" s="33"/>
      <c r="E23" s="34"/>
    </row>
    <row r="24" spans="1:10" ht="25.05" customHeight="1" x14ac:dyDescent="0.3">
      <c r="A24" s="15" t="s">
        <v>6</v>
      </c>
      <c r="B24" s="7">
        <f>(B12+B15+B18)*B23</f>
        <v>3176.026875</v>
      </c>
      <c r="C24" s="17" t="s">
        <v>0</v>
      </c>
      <c r="D24" s="18">
        <f>(D12+D15+D18)*10%</f>
        <v>960.74812968749995</v>
      </c>
      <c r="E24" s="17" t="s">
        <v>1</v>
      </c>
    </row>
    <row r="25" spans="1:10" ht="25.05" customHeight="1" x14ac:dyDescent="0.3">
      <c r="A25" s="27" t="s">
        <v>10</v>
      </c>
      <c r="B25" s="27"/>
      <c r="C25" s="27"/>
      <c r="D25" s="27"/>
      <c r="E25" s="27"/>
    </row>
    <row r="26" spans="1:10" ht="25.05" customHeight="1" x14ac:dyDescent="0.3">
      <c r="A26" s="31" t="s">
        <v>39</v>
      </c>
      <c r="B26" s="32"/>
      <c r="C26" s="32"/>
      <c r="D26" s="32"/>
      <c r="E26" s="32"/>
    </row>
    <row r="27" spans="1:10" ht="25.05" customHeight="1" x14ac:dyDescent="0.3">
      <c r="A27" s="15" t="s">
        <v>7</v>
      </c>
      <c r="B27" s="7">
        <f>B12+B24</f>
        <v>29478.526875</v>
      </c>
      <c r="C27" s="17" t="s">
        <v>0</v>
      </c>
      <c r="D27" s="7">
        <f>D12+D24</f>
        <v>8917.2543796874997</v>
      </c>
      <c r="E27" s="17" t="s">
        <v>1</v>
      </c>
      <c r="H27" s="19">
        <f>B6</f>
        <v>5845</v>
      </c>
      <c r="I27" s="8">
        <v>0.2</v>
      </c>
      <c r="J27" s="8">
        <v>0.1</v>
      </c>
    </row>
    <row r="28" spans="1:10" ht="25.05" customHeight="1" x14ac:dyDescent="0.3">
      <c r="A28" s="27" t="s">
        <v>40</v>
      </c>
      <c r="B28" s="27"/>
      <c r="C28" s="27"/>
      <c r="D28" s="27"/>
      <c r="E28" s="27"/>
      <c r="H28" s="12">
        <f>IF(B6&gt;500,B6*(E7+J27),B6*(E7+I27))</f>
        <v>3214.7500000000005</v>
      </c>
    </row>
    <row r="29" spans="1:10" ht="25.05" customHeight="1" x14ac:dyDescent="0.3">
      <c r="A29" s="31" t="s">
        <v>39</v>
      </c>
      <c r="B29" s="32"/>
      <c r="C29" s="32"/>
      <c r="D29" s="32"/>
      <c r="E29" s="32"/>
    </row>
    <row r="30" spans="1:10" ht="25.05" customHeight="1" x14ac:dyDescent="0.3">
      <c r="A30" s="15" t="s">
        <v>27</v>
      </c>
      <c r="B30" s="3">
        <v>3</v>
      </c>
      <c r="C30" s="16" t="s">
        <v>25</v>
      </c>
      <c r="D30" s="15" t="s">
        <v>28</v>
      </c>
      <c r="E30" s="9">
        <f>IF(B6&gt;500,E7+J27,E7+I27)</f>
        <v>0.55000000000000004</v>
      </c>
    </row>
    <row r="31" spans="1:10" ht="25.05" customHeight="1" x14ac:dyDescent="0.3">
      <c r="A31" s="39" t="s">
        <v>29</v>
      </c>
      <c r="B31" s="39"/>
      <c r="C31" s="39"/>
      <c r="D31" s="39"/>
      <c r="E31" s="39"/>
    </row>
    <row r="32" spans="1:10" ht="25.05" customHeight="1" x14ac:dyDescent="0.3">
      <c r="A32" s="15" t="s">
        <v>30</v>
      </c>
      <c r="B32" s="7">
        <f>B6*$E$30*$B$30</f>
        <v>9644.2500000000018</v>
      </c>
      <c r="C32" s="17" t="s">
        <v>0</v>
      </c>
      <c r="D32" s="7">
        <f>D6*$E$30*$B$30</f>
        <v>2917.3856250000003</v>
      </c>
      <c r="E32" s="17" t="s">
        <v>1</v>
      </c>
    </row>
    <row r="33" spans="1:5" ht="25.05" customHeight="1" x14ac:dyDescent="0.3">
      <c r="A33" s="27" t="s">
        <v>34</v>
      </c>
      <c r="B33" s="27"/>
      <c r="C33" s="27"/>
      <c r="D33" s="27"/>
      <c r="E33" s="27"/>
    </row>
    <row r="34" spans="1:5" ht="25.05" customHeight="1" x14ac:dyDescent="0.3">
      <c r="A34" s="31" t="s">
        <v>39</v>
      </c>
      <c r="B34" s="32"/>
      <c r="C34" s="32"/>
      <c r="D34" s="32"/>
      <c r="E34" s="32"/>
    </row>
    <row r="35" spans="1:5" ht="25.05" customHeight="1" x14ac:dyDescent="0.3">
      <c r="A35" s="15" t="s">
        <v>11</v>
      </c>
      <c r="B35" s="37">
        <v>0.32</v>
      </c>
      <c r="C35" s="38"/>
      <c r="D35" s="35" t="str">
        <f>IF(B39&lt;0,"請注意規劃，地下層數或是規劃公設比數值","正常規劃")</f>
        <v>正常規劃</v>
      </c>
      <c r="E35" s="36"/>
    </row>
    <row r="36" spans="1:5" ht="25.05" customHeight="1" x14ac:dyDescent="0.3">
      <c r="A36" s="31" t="s">
        <v>39</v>
      </c>
      <c r="B36" s="32"/>
      <c r="C36" s="32"/>
      <c r="D36" s="32"/>
      <c r="E36" s="32"/>
    </row>
    <row r="37" spans="1:5" ht="25.05" customHeight="1" x14ac:dyDescent="0.3">
      <c r="A37" s="15" t="s">
        <v>22</v>
      </c>
      <c r="B37" s="7">
        <f>B15+B18</f>
        <v>5457.7687500000002</v>
      </c>
      <c r="C37" s="20" t="s">
        <v>0</v>
      </c>
      <c r="D37" s="7">
        <f>D15+D18+D21</f>
        <v>1949.3440312499997</v>
      </c>
      <c r="E37" s="20" t="s">
        <v>1</v>
      </c>
    </row>
    <row r="38" spans="1:5" ht="25.05" customHeight="1" x14ac:dyDescent="0.3">
      <c r="A38" s="15" t="s">
        <v>31</v>
      </c>
      <c r="B38" s="7">
        <f>B43-B37</f>
        <v>8414.4791911764733</v>
      </c>
      <c r="C38" s="20" t="s">
        <v>0</v>
      </c>
      <c r="D38" s="7">
        <f>D43-D37</f>
        <v>2247.0109709558828</v>
      </c>
      <c r="E38" s="20" t="s">
        <v>1</v>
      </c>
    </row>
    <row r="39" spans="1:5" ht="25.05" customHeight="1" x14ac:dyDescent="0.3">
      <c r="A39" s="15" t="s">
        <v>32</v>
      </c>
      <c r="B39" s="7">
        <f>B32-B38-B21</f>
        <v>243.42705882352857</v>
      </c>
      <c r="C39" s="20" t="s">
        <v>0</v>
      </c>
      <c r="D39" s="7">
        <f>D32-D38</f>
        <v>670.37465404411751</v>
      </c>
      <c r="E39" s="20" t="s">
        <v>1</v>
      </c>
    </row>
    <row r="40" spans="1:5" ht="25.05" customHeight="1" x14ac:dyDescent="0.3">
      <c r="A40" s="15" t="s">
        <v>44</v>
      </c>
      <c r="B40" s="7">
        <f>B39/B44</f>
        <v>0.91974180976738196</v>
      </c>
      <c r="C40" s="20" t="s">
        <v>0</v>
      </c>
      <c r="D40" s="7">
        <f>D39/D44</f>
        <v>2.1107335687898345</v>
      </c>
      <c r="E40" s="20" t="s">
        <v>1</v>
      </c>
    </row>
    <row r="41" spans="1:5" ht="25.05" customHeight="1" x14ac:dyDescent="0.3">
      <c r="A41" s="31" t="s">
        <v>39</v>
      </c>
      <c r="B41" s="32"/>
      <c r="C41" s="32"/>
      <c r="D41" s="32"/>
      <c r="E41" s="32"/>
    </row>
    <row r="42" spans="1:5" ht="25.05" customHeight="1" x14ac:dyDescent="0.3">
      <c r="A42" s="15" t="s">
        <v>13</v>
      </c>
      <c r="B42" s="7">
        <f>B27/(1-$B$35)</f>
        <v>43350.774816176476</v>
      </c>
      <c r="C42" s="20" t="s">
        <v>0</v>
      </c>
      <c r="D42" s="7">
        <f>D27/(1-$B$35)</f>
        <v>13113.609381893382</v>
      </c>
      <c r="E42" s="20" t="s">
        <v>1</v>
      </c>
    </row>
    <row r="43" spans="1:5" ht="25.05" customHeight="1" x14ac:dyDescent="0.3">
      <c r="A43" s="15" t="s">
        <v>12</v>
      </c>
      <c r="B43" s="7">
        <f>B27*$B$35/(1-$B$35)</f>
        <v>13872.247941176473</v>
      </c>
      <c r="C43" s="20" t="s">
        <v>0</v>
      </c>
      <c r="D43" s="7">
        <f>D27*$B$35/(1-$B$35)</f>
        <v>4196.3550022058826</v>
      </c>
      <c r="E43" s="20" t="s">
        <v>1</v>
      </c>
    </row>
    <row r="44" spans="1:5" ht="25.05" customHeight="1" x14ac:dyDescent="0.3">
      <c r="A44" s="15" t="s">
        <v>43</v>
      </c>
      <c r="B44" s="10">
        <f>(B12+B15+B18)/120</f>
        <v>264.66890625000002</v>
      </c>
      <c r="C44" s="20" t="s">
        <v>42</v>
      </c>
      <c r="D44" s="7">
        <f>(B12+B18+B15)/100</f>
        <v>317.6026875</v>
      </c>
      <c r="E44" s="20" t="s">
        <v>42</v>
      </c>
    </row>
    <row r="45" spans="1:5" ht="25.05" customHeight="1" x14ac:dyDescent="0.3">
      <c r="A45" s="31" t="s">
        <v>39</v>
      </c>
      <c r="B45" s="32"/>
      <c r="C45" s="32"/>
      <c r="D45" s="32"/>
      <c r="E45" s="32"/>
    </row>
    <row r="49" spans="2:3" x14ac:dyDescent="0.3">
      <c r="B49" s="21"/>
      <c r="C49" s="21"/>
    </row>
    <row r="50" spans="2:3" x14ac:dyDescent="0.3">
      <c r="B50" s="21"/>
      <c r="C50" s="21"/>
    </row>
  </sheetData>
  <sheetProtection algorithmName="SHA-512" hashValue="vD/bulnGavZKIA/OuyR+4sv8uCcEL3CzRZLW8irKkC5a/Cq0aTGK06GssUA3t60xDnMTrkmuAQ6HkpllCcxEPQ==" saltValue="GchUYITbcPBT1adSPsfAng==" spinCount="100000" sheet="1" selectLockedCells="1"/>
  <mergeCells count="31">
    <mergeCell ref="A45:E45"/>
    <mergeCell ref="D10:E10"/>
    <mergeCell ref="A36:E36"/>
    <mergeCell ref="A34:E34"/>
    <mergeCell ref="A41:E41"/>
    <mergeCell ref="A22:E22"/>
    <mergeCell ref="D23:E23"/>
    <mergeCell ref="A26:E26"/>
    <mergeCell ref="A29:E29"/>
    <mergeCell ref="D35:E35"/>
    <mergeCell ref="B35:C35"/>
    <mergeCell ref="A33:E33"/>
    <mergeCell ref="A25:E25"/>
    <mergeCell ref="A28:E28"/>
    <mergeCell ref="A31:E31"/>
    <mergeCell ref="A1:E1"/>
    <mergeCell ref="B23:C23"/>
    <mergeCell ref="A4:C5"/>
    <mergeCell ref="A3:E3"/>
    <mergeCell ref="A2:E2"/>
    <mergeCell ref="D5:E5"/>
    <mergeCell ref="B7:C7"/>
    <mergeCell ref="B14:C14"/>
    <mergeCell ref="B17:C17"/>
    <mergeCell ref="A16:E16"/>
    <mergeCell ref="D9:E9"/>
    <mergeCell ref="A13:E13"/>
    <mergeCell ref="D14:E14"/>
    <mergeCell ref="D17:E17"/>
    <mergeCell ref="D20:E20"/>
    <mergeCell ref="A19:E19"/>
  </mergeCells>
  <phoneticPr fontId="2" type="noConversion"/>
  <hyperlinks>
    <hyperlink ref="A45" r:id="rId1" display="www.ur-promoter.com" xr:uid="{9A987513-0F3D-4752-BFEF-CF4BA80385D6}"/>
    <hyperlink ref="A34" r:id="rId2" display="www.ur-promoter.com" xr:uid="{1C60D580-B7FA-4130-A954-C2982584453F}"/>
    <hyperlink ref="A36" r:id="rId3" display="www.ur-promoter.com" xr:uid="{85298689-A013-4DAA-B56E-9A52BFA929E8}"/>
    <hyperlink ref="A29" r:id="rId4" display="www.ur-promoter.com" xr:uid="{48BC9BCF-2FD3-4F6B-BBA7-D9947B63B28C}"/>
    <hyperlink ref="A26" r:id="rId5" display="www.ur-promoter.com" xr:uid="{F51836FE-C9D3-448B-97AC-DC94D4563574}"/>
    <hyperlink ref="A13" r:id="rId6" display="www.ur-promoter.com" xr:uid="{849290CB-437B-4490-97C6-61068068B809}"/>
    <hyperlink ref="A41" r:id="rId7" display="www.ur-promoter.com" xr:uid="{76685FC7-EB35-4798-9124-984D09C5005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12</vt:i4>
      </vt:variant>
    </vt:vector>
  </HeadingPairs>
  <TitlesOfParts>
    <vt:vector size="13" baseType="lpstr">
      <vt:lpstr>坪效估算</vt:lpstr>
      <vt:lpstr>A.土地面積_L</vt:lpstr>
      <vt:lpstr>A_案名</vt:lpstr>
      <vt:lpstr>AN_N01</vt:lpstr>
      <vt:lpstr>AN_N02</vt:lpstr>
      <vt:lpstr>AN_N03</vt:lpstr>
      <vt:lpstr>AN_N04</vt:lpstr>
      <vt:lpstr>AN_N05</vt:lpstr>
      <vt:lpstr>AN_N06</vt:lpstr>
      <vt:lpstr>AN_N07</vt:lpstr>
      <vt:lpstr>AN_N08</vt:lpstr>
      <vt:lpstr>B_土地面積</vt:lpstr>
      <vt:lpstr>坪效估算!Print_Area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都更資訊平台</dc:creator>
  <cp:lastModifiedBy>建福 Chien-Fu Tseng 不動產經紀人 曾</cp:lastModifiedBy>
  <cp:lastPrinted>2024-04-29T01:54:28Z</cp:lastPrinted>
  <dcterms:created xsi:type="dcterms:W3CDTF">2024-04-25T02:34:02Z</dcterms:created>
  <dcterms:modified xsi:type="dcterms:W3CDTF">2024-04-29T02:28:54Z</dcterms:modified>
</cp:coreProperties>
</file>